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sson.silva\Downloads\"/>
    </mc:Choice>
  </mc:AlternateContent>
  <bookViews>
    <workbookView xWindow="0" yWindow="0" windowWidth="20400" windowHeight="7635" activeTab="1"/>
  </bookViews>
  <sheets>
    <sheet name="QUF" sheetId="2" r:id="rId1"/>
    <sheet name="Orçamento e Cronograma" sheetId="3" r:id="rId2"/>
  </sheets>
  <definedNames>
    <definedName name="_xlnm.Print_Area" localSheetId="1">'Orçamento e Cronograma'!$A$2:$AC$28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3" l="1"/>
  <c r="C17" i="3"/>
  <c r="C15" i="3"/>
  <c r="A18" i="3"/>
  <c r="A17" i="3"/>
  <c r="A16" i="3"/>
  <c r="A15" i="3"/>
  <c r="A14" i="3"/>
  <c r="C8" i="3"/>
  <c r="A11" i="3"/>
  <c r="A10" i="3"/>
  <c r="A9" i="3"/>
  <c r="A8" i="3"/>
  <c r="A7" i="3"/>
  <c r="C18" i="2"/>
  <c r="C24" i="2"/>
  <c r="C20" i="2"/>
  <c r="C18" i="3" s="1"/>
  <c r="C19" i="2"/>
  <c r="C16" i="2"/>
  <c r="C12" i="2"/>
  <c r="C10" i="3" s="1"/>
  <c r="C11" i="2"/>
  <c r="C9" i="3" s="1"/>
  <c r="C10" i="2"/>
  <c r="C13" i="2"/>
  <c r="C9" i="2"/>
  <c r="C22" i="3" l="1"/>
  <c r="C24" i="3" s="1"/>
  <c r="E18" i="2"/>
  <c r="C14" i="3"/>
  <c r="E10" i="2"/>
  <c r="E19" i="2"/>
  <c r="E12" i="2"/>
  <c r="E13" i="2"/>
  <c r="E11" i="2"/>
  <c r="E20" i="2"/>
  <c r="C7" i="3"/>
  <c r="C11" i="3"/>
  <c r="C16" i="3"/>
  <c r="C22" i="2"/>
  <c r="C14" i="2"/>
  <c r="E14" i="2" s="1"/>
  <c r="F6" i="3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D12" i="3"/>
  <c r="D24" i="3"/>
  <c r="E9" i="2"/>
  <c r="C20" i="3" l="1"/>
  <c r="C12" i="3"/>
  <c r="C26" i="2"/>
  <c r="E17" i="2"/>
  <c r="E16" i="2"/>
  <c r="C25" i="3" l="1"/>
  <c r="C26" i="3" s="1"/>
  <c r="E26" i="3" s="1"/>
  <c r="C27" i="2"/>
  <c r="D21" i="2" s="1"/>
  <c r="W12" i="3" l="1"/>
  <c r="W20" i="3"/>
  <c r="X20" i="3" s="1"/>
  <c r="Y20" i="3" s="1"/>
  <c r="Z20" i="3" s="1"/>
  <c r="E20" i="3"/>
  <c r="F20" i="3" s="1"/>
  <c r="G20" i="3" s="1"/>
  <c r="E24" i="3"/>
  <c r="AC24" i="3" s="1"/>
  <c r="H12" i="3"/>
  <c r="E12" i="3"/>
  <c r="F12" i="3" s="1"/>
  <c r="Z12" i="3"/>
  <c r="AA12" i="3" s="1"/>
  <c r="AB12" i="3" s="1"/>
  <c r="AA20" i="3"/>
  <c r="AB20" i="3" s="1"/>
  <c r="K12" i="3"/>
  <c r="Q26" i="3"/>
  <c r="AC26" i="3" s="1"/>
  <c r="H20" i="3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D19" i="3"/>
  <c r="E21" i="2"/>
  <c r="E22" i="2" s="1"/>
  <c r="E24" i="2"/>
  <c r="E26" i="2" s="1"/>
  <c r="D27" i="2"/>
  <c r="E25" i="3" l="1"/>
  <c r="H25" i="3"/>
  <c r="G12" i="3"/>
  <c r="G25" i="3" s="1"/>
  <c r="F25" i="3"/>
  <c r="D20" i="3"/>
  <c r="D25" i="3" s="1"/>
  <c r="D26" i="3" s="1"/>
  <c r="E27" i="2"/>
  <c r="I12" i="3" l="1"/>
  <c r="I25" i="3" s="1"/>
  <c r="J12" i="3" l="1"/>
  <c r="K25" i="3" s="1"/>
  <c r="J25" i="3" l="1"/>
  <c r="L12" i="3"/>
  <c r="L25" i="3" s="1"/>
  <c r="M12" i="3" l="1"/>
  <c r="M25" i="3" s="1"/>
  <c r="N12" i="3" l="1"/>
  <c r="N25" i="3" s="1"/>
  <c r="O12" i="3" l="1"/>
  <c r="O25" i="3" s="1"/>
  <c r="P12" i="3" l="1"/>
  <c r="P25" i="3" s="1"/>
  <c r="AC20" i="3" l="1"/>
  <c r="Q12" i="3"/>
  <c r="Q25" i="3" s="1"/>
  <c r="R12" i="3" l="1"/>
  <c r="R25" i="3" s="1"/>
  <c r="S12" i="3" l="1"/>
  <c r="S25" i="3" s="1"/>
  <c r="T12" i="3" l="1"/>
  <c r="T25" i="3" s="1"/>
  <c r="U12" i="3" l="1"/>
  <c r="U25" i="3" s="1"/>
  <c r="V12" i="3" l="1"/>
  <c r="V25" i="3" s="1"/>
  <c r="W25" i="3" l="1"/>
  <c r="X12" i="3" l="1"/>
  <c r="X25" i="3" s="1"/>
  <c r="Y12" i="3" l="1"/>
  <c r="Y25" i="3" s="1"/>
  <c r="Z25" i="3" l="1"/>
  <c r="AA25" i="3" l="1"/>
  <c r="AB25" i="3" l="1"/>
  <c r="AC25" i="3" s="1"/>
  <c r="AC12" i="3"/>
</calcChain>
</file>

<file path=xl/sharedStrings.xml><?xml version="1.0" encoding="utf-8"?>
<sst xmlns="http://schemas.openxmlformats.org/spreadsheetml/2006/main" count="271" uniqueCount="48">
  <si>
    <t>ITEM/DESPESA</t>
  </si>
  <si>
    <t>BOLSAS</t>
  </si>
  <si>
    <t>CUSTEIO</t>
  </si>
  <si>
    <t>Total Custeio</t>
  </si>
  <si>
    <t>CAPITAL</t>
  </si>
  <si>
    <t>Total Capital</t>
  </si>
  <si>
    <t>TOTAL GERAL</t>
  </si>
  <si>
    <t>QUADRO DE USOS E FONTES</t>
  </si>
  <si>
    <t>Total Bolsas</t>
  </si>
  <si>
    <t>SECRETARIA DE ESTADO DE ECONOMIA, DESENVOLVIMENTO, INOVAÇÃO, CIÊNCIA E TECNOLOGIA DO DISTRITO FEDERAL</t>
  </si>
  <si>
    <r>
      <t xml:space="preserve">Obedecer ao Manual de Prestação de Contas que se encontra no site da FAPDF </t>
    </r>
    <r>
      <rPr>
        <sz val="10"/>
        <color rgb="FF0070C0"/>
        <rFont val="Times New Roman"/>
        <family val="1"/>
      </rPr>
      <t>http://www.fap.df.gov.br/wp-content/uploads/2020/06/25-05-21- Manual_de_Prestacao_de_Contas_FAPDF_Projur Atualizado.pdf</t>
    </r>
  </si>
  <si>
    <t>FUNDAÇÃO DE APOIO À PESQUISA DO DISTRITO FEDERAL</t>
  </si>
  <si>
    <t xml:space="preserve">DATA: </t>
  </si>
  <si>
    <t>Assinatura do Coordenador do Projeto:</t>
  </si>
  <si>
    <t>CONTRAPARTIDA RECEBIDA (em R$)</t>
  </si>
  <si>
    <t>NOME DO PROJETO:</t>
  </si>
  <si>
    <t xml:space="preserve">ORÇAMENTO E CRONOGRAMA </t>
  </si>
  <si>
    <t>Ano 1 (meses)</t>
  </si>
  <si>
    <t>Ano 2 (em meses)</t>
  </si>
  <si>
    <t>Total</t>
  </si>
  <si>
    <t>x</t>
  </si>
  <si>
    <t>BOLSAS (equipe de pesquisadores)</t>
  </si>
  <si>
    <t>Bolsa Nível 1 (R$ 1.500,00 x 2 x 18 meses)</t>
  </si>
  <si>
    <t xml:space="preserve">NOME DO PROJETO: </t>
  </si>
  <si>
    <t>Bolsa Nível 4 (R$ 6.900,00 x 1 x 24 meses)</t>
  </si>
  <si>
    <t>Bolsa Nível 2 (R$ 2.500,00 x 2 x 12 meses)</t>
  </si>
  <si>
    <t>Bolsa Nível 3 (R$ 3.700,00 x 1 x 12 meses)</t>
  </si>
  <si>
    <t>Bolsa Nível 3 (R$ 3.700,00 x 2 x 12 meses)</t>
  </si>
  <si>
    <t>2. Serviços de Terceiros - Pessoa jurídica (testes em laboratórios industriais e de bancada, insumos para os testes, materiais aplicados aos testes e despesas de apoio associadas aos serviços).</t>
  </si>
  <si>
    <t>Declaro que considero assinado todos os documentos anexados ao projeto submetido via FAP One</t>
  </si>
  <si>
    <t>Assinatura do(a) Coordenador(a) do Projeto:</t>
  </si>
  <si>
    <t>5. Assinatura (bibl. em meio digital e plataforma de periódicos, etc.) + despesas com publicações de artigos.</t>
  </si>
  <si>
    <t>25 de maio de 2023</t>
  </si>
  <si>
    <t>Obs.: A contrapartida será comprovada por meio 1/24 (um, vinte e quatro avos) de salários de professores e espaço físico e laboratórios cedidos ao projeto, podendo ser superior ao valor projetado inicialmente, que é de R$ 39.999,50.</t>
  </si>
  <si>
    <t>TOTAL GERA (Valores em reais)</t>
  </si>
  <si>
    <t>FAPDF 
(em R$)</t>
  </si>
  <si>
    <t>TOTAL 
(em R$)</t>
  </si>
  <si>
    <t>3. Serviço de Terceiros - Pessoa Física  (serviços de apoio ao projeto, revisão de textos e tradução do projeto e relatórios de pesquisa, serviços de aplicações H2V em campo).  20 x R$3.100,00).</t>
  </si>
  <si>
    <t>6. Infraestrutura (física (laboratórios e pessoal com memória de CH destinada ao projeto).</t>
  </si>
  <si>
    <t>2. Livros e publicações técnico-científicos (físico).</t>
  </si>
  <si>
    <t>1. Material de consumo (papelaria, toner e demais inusmos para escritório  = 24 x R$500,00).</t>
  </si>
  <si>
    <t>4. Atividade de Campo (hospedagem, alimentação e despesas de locomoção ou diárias nacionais e internacionais), inclui visitas técnicas em fabricantes de equipamentos.</t>
  </si>
  <si>
    <t>1. Equipamento (2 Notebooks x R$ 5.470,00).</t>
  </si>
  <si>
    <t>CONTRAPAR-TIDA (em R$)</t>
  </si>
  <si>
    <t>Xxxxxxxxxxxxxxxxxxxxx - Coordenadora: profª. Dra. Xxxxxxxxxx</t>
  </si>
  <si>
    <t xml:space="preserve">Coordenador(a): profª. </t>
  </si>
  <si>
    <r>
      <t xml:space="preserve">Obedecer ao Manual de Prestação de Contas que se encontra no site da FAPDF </t>
    </r>
    <r>
      <rPr>
        <b/>
        <sz val="8"/>
        <color rgb="FF0070C0"/>
        <rFont val="Arial"/>
        <family val="2"/>
      </rPr>
      <t>http://www.fap.df.gov.br/wp-content/uploads/2020/06/25-05-21- Manual_de_Prestacao_de_Contas_FAPDF_Projur Atualizado.pdf</t>
    </r>
  </si>
  <si>
    <t xml:space="preserve">          FUNDAÇÃO DE APOIO À PESQUISA DO DISTRITO FEDERAL (FAPDF)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</si>
</sst>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0_-;\-* #,##0.000_-;_-* &quot;-&quot;??_-;_-@_-"/>
    <numFmt numFmtId="165" formatCode="0.000"/>
    <numFmt numFmtId="166" formatCode="0.000%"/>
    <numFmt numFmtId="167" formatCode="&quot;R$&quot;\ 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b/>
      <sz val="6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6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b/>
      <sz val="8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5" fillId="0" borderId="7" xfId="0" applyFont="1" applyBorder="1"/>
    <xf numFmtId="43" fontId="5" fillId="0" borderId="8" xfId="1" applyFont="1" applyBorder="1"/>
    <xf numFmtId="0" fontId="5" fillId="0" borderId="0" xfId="0" applyFont="1"/>
    <xf numFmtId="43" fontId="5" fillId="0" borderId="0" xfId="1" applyFont="1" applyBorder="1"/>
    <xf numFmtId="43" fontId="2" fillId="0" borderId="17" xfId="1" applyFont="1" applyBorder="1"/>
    <xf numFmtId="43" fontId="3" fillId="0" borderId="3" xfId="1" applyFont="1" applyBorder="1"/>
    <xf numFmtId="10" fontId="0" fillId="0" borderId="0" xfId="2" applyNumberFormat="1" applyFont="1"/>
    <xf numFmtId="43" fontId="0" fillId="0" borderId="0" xfId="1" applyFont="1"/>
    <xf numFmtId="10" fontId="0" fillId="0" borderId="0" xfId="0" applyNumberFormat="1"/>
    <xf numFmtId="10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166" fontId="0" fillId="6" borderId="0" xfId="2" applyNumberFormat="1" applyFont="1" applyFill="1"/>
    <xf numFmtId="0" fontId="0" fillId="6" borderId="0" xfId="0" applyFill="1"/>
    <xf numFmtId="166" fontId="0" fillId="6" borderId="0" xfId="0" applyNumberFormat="1" applyFill="1"/>
    <xf numFmtId="0" fontId="0" fillId="6" borderId="0" xfId="2" applyNumberFormat="1" applyFont="1" applyFill="1"/>
    <xf numFmtId="164" fontId="0" fillId="6" borderId="0" xfId="1" applyNumberFormat="1" applyFont="1" applyFill="1"/>
    <xf numFmtId="10" fontId="0" fillId="6" borderId="0" xfId="0" applyNumberFormat="1" applyFill="1"/>
    <xf numFmtId="10" fontId="0" fillId="6" borderId="0" xfId="2" applyNumberFormat="1" applyFont="1" applyFill="1"/>
    <xf numFmtId="43" fontId="0" fillId="6" borderId="0" xfId="1" applyFont="1" applyFill="1"/>
    <xf numFmtId="10" fontId="10" fillId="6" borderId="0" xfId="2" applyNumberFormat="1" applyFont="1" applyFill="1" applyBorder="1"/>
    <xf numFmtId="43" fontId="2" fillId="0" borderId="19" xfId="1" applyFont="1" applyBorder="1"/>
    <xf numFmtId="43" fontId="2" fillId="0" borderId="18" xfId="1" applyFont="1" applyBorder="1"/>
    <xf numFmtId="43" fontId="2" fillId="0" borderId="2" xfId="1" applyFont="1" applyBorder="1"/>
    <xf numFmtId="43" fontId="2" fillId="0" borderId="23" xfId="1" applyFont="1" applyBorder="1"/>
    <xf numFmtId="43" fontId="2" fillId="0" borderId="24" xfId="1" applyFont="1" applyBorder="1"/>
    <xf numFmtId="43" fontId="2" fillId="0" borderId="25" xfId="1" applyFont="1" applyBorder="1"/>
    <xf numFmtId="43" fontId="2" fillId="0" borderId="26" xfId="1" applyFont="1" applyBorder="1"/>
    <xf numFmtId="43" fontId="3" fillId="0" borderId="27" xfId="1" applyFont="1" applyBorder="1" applyAlignment="1">
      <alignment horizontal="right"/>
    </xf>
    <xf numFmtId="43" fontId="2" fillId="0" borderId="28" xfId="1" applyFont="1" applyBorder="1"/>
    <xf numFmtId="43" fontId="2" fillId="7" borderId="3" xfId="1" applyFont="1" applyFill="1" applyBorder="1"/>
    <xf numFmtId="43" fontId="2" fillId="7" borderId="16" xfId="1" applyFont="1" applyFill="1" applyBorder="1"/>
    <xf numFmtId="43" fontId="3" fillId="7" borderId="3" xfId="1" applyFont="1" applyFill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7" borderId="14" xfId="0" applyFont="1" applyFill="1" applyBorder="1" applyAlignment="1">
      <alignment horizontal="left"/>
    </xf>
    <xf numFmtId="0" fontId="3" fillId="7" borderId="22" xfId="0" applyFont="1" applyFill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0" xfId="0" applyFont="1"/>
    <xf numFmtId="0" fontId="5" fillId="0" borderId="12" xfId="0" applyFont="1" applyBorder="1"/>
    <xf numFmtId="0" fontId="5" fillId="0" borderId="13" xfId="0" applyFont="1" applyBorder="1"/>
    <xf numFmtId="43" fontId="5" fillId="0" borderId="13" xfId="1" applyFont="1" applyBorder="1"/>
    <xf numFmtId="43" fontId="5" fillId="0" borderId="21" xfId="1" applyFont="1" applyBorder="1"/>
    <xf numFmtId="0" fontId="4" fillId="0" borderId="14" xfId="0" applyFont="1" applyBorder="1" applyAlignment="1">
      <alignment horizontal="left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wrapText="1"/>
    </xf>
    <xf numFmtId="43" fontId="12" fillId="0" borderId="7" xfId="1" applyFont="1" applyBorder="1" applyAlignment="1">
      <alignment horizontal="center" vertical="center"/>
    </xf>
    <xf numFmtId="43" fontId="12" fillId="0" borderId="9" xfId="1" applyFont="1" applyBorder="1" applyAlignment="1">
      <alignment vertical="center"/>
    </xf>
    <xf numFmtId="43" fontId="12" fillId="0" borderId="7" xfId="1" applyFont="1" applyBorder="1" applyAlignment="1">
      <alignment vertical="center"/>
    </xf>
    <xf numFmtId="43" fontId="2" fillId="7" borderId="30" xfId="1" applyFont="1" applyFill="1" applyBorder="1"/>
    <xf numFmtId="43" fontId="3" fillId="0" borderId="32" xfId="1" applyFont="1" applyBorder="1"/>
    <xf numFmtId="43" fontId="2" fillId="7" borderId="32" xfId="1" applyFont="1" applyFill="1" applyBorder="1"/>
    <xf numFmtId="43" fontId="2" fillId="0" borderId="34" xfId="1" applyFont="1" applyBorder="1"/>
    <xf numFmtId="43" fontId="12" fillId="0" borderId="33" xfId="1" applyFont="1" applyBorder="1" applyAlignment="1">
      <alignment vertical="center"/>
    </xf>
    <xf numFmtId="43" fontId="12" fillId="0" borderId="10" xfId="1" applyFont="1" applyBorder="1" applyAlignment="1">
      <alignment vertical="center"/>
    </xf>
    <xf numFmtId="43" fontId="2" fillId="0" borderId="36" xfId="1" applyFont="1" applyBorder="1" applyAlignment="1">
      <alignment vertical="center"/>
    </xf>
    <xf numFmtId="43" fontId="3" fillId="0" borderId="16" xfId="1" applyFont="1" applyBorder="1"/>
    <xf numFmtId="43" fontId="2" fillId="0" borderId="33" xfId="1" applyFont="1" applyBorder="1"/>
    <xf numFmtId="43" fontId="2" fillId="0" borderId="10" xfId="1" applyFont="1" applyBorder="1"/>
    <xf numFmtId="43" fontId="3" fillId="0" borderId="36" xfId="1" applyFont="1" applyBorder="1"/>
    <xf numFmtId="43" fontId="12" fillId="0" borderId="37" xfId="1" applyFont="1" applyBorder="1"/>
    <xf numFmtId="43" fontId="12" fillId="0" borderId="24" xfId="1" applyFont="1" applyBorder="1"/>
    <xf numFmtId="43" fontId="2" fillId="0" borderId="25" xfId="1" applyFont="1" applyBorder="1" applyAlignment="1">
      <alignment vertical="center"/>
    </xf>
    <xf numFmtId="43" fontId="3" fillId="7" borderId="3" xfId="1" applyFont="1" applyFill="1" applyBorder="1"/>
    <xf numFmtId="0" fontId="2" fillId="0" borderId="17" xfId="0" applyFont="1" applyBorder="1"/>
    <xf numFmtId="43" fontId="3" fillId="0" borderId="25" xfId="1" applyFont="1" applyBorder="1"/>
    <xf numFmtId="0" fontId="3" fillId="0" borderId="28" xfId="0" applyFont="1" applyBorder="1" applyAlignment="1">
      <alignment horizontal="left"/>
    </xf>
    <xf numFmtId="43" fontId="2" fillId="0" borderId="35" xfId="1" applyFont="1" applyBorder="1"/>
    <xf numFmtId="43" fontId="2" fillId="0" borderId="18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43" fontId="2" fillId="0" borderId="14" xfId="1" applyFont="1" applyBorder="1" applyAlignment="1">
      <alignment horizontal="left" vertical="center" wrapText="1"/>
    </xf>
    <xf numFmtId="43" fontId="2" fillId="0" borderId="16" xfId="1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12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14" fontId="2" fillId="0" borderId="15" xfId="1" applyNumberFormat="1" applyFont="1" applyBorder="1" applyAlignment="1">
      <alignment horizontal="center" vertical="center"/>
    </xf>
    <xf numFmtId="14" fontId="2" fillId="0" borderId="16" xfId="1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9" fillId="0" borderId="0" xfId="0" applyFont="1"/>
    <xf numFmtId="10" fontId="9" fillId="0" borderId="0" xfId="0" applyNumberFormat="1" applyFont="1"/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5" fillId="0" borderId="41" xfId="0" applyFont="1" applyBorder="1"/>
    <xf numFmtId="43" fontId="16" fillId="0" borderId="0" xfId="1" applyFont="1" applyBorder="1" applyAlignment="1">
      <alignment horizontal="center"/>
    </xf>
    <xf numFmtId="43" fontId="16" fillId="0" borderId="8" xfId="1" applyFont="1" applyBorder="1" applyAlignment="1">
      <alignment horizontal="center"/>
    </xf>
    <xf numFmtId="0" fontId="17" fillId="0" borderId="42" xfId="0" applyFont="1" applyBorder="1"/>
    <xf numFmtId="0" fontId="17" fillId="0" borderId="0" xfId="0" applyFont="1"/>
    <xf numFmtId="43" fontId="17" fillId="0" borderId="0" xfId="1" applyFont="1" applyBorder="1"/>
    <xf numFmtId="43" fontId="17" fillId="0" borderId="13" xfId="1" applyFont="1" applyBorder="1" applyAlignment="1">
      <alignment horizontal="center"/>
    </xf>
    <xf numFmtId="0" fontId="15" fillId="0" borderId="0" xfId="0" applyFont="1"/>
    <xf numFmtId="0" fontId="15" fillId="0" borderId="8" xfId="0" applyFont="1" applyBorder="1"/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1" fontId="18" fillId="0" borderId="14" xfId="1" applyNumberFormat="1" applyFont="1" applyBorder="1" applyAlignment="1">
      <alignment horizontal="center" vertical="center" wrapText="1"/>
    </xf>
    <xf numFmtId="1" fontId="18" fillId="0" borderId="15" xfId="1" applyNumberFormat="1" applyFont="1" applyBorder="1" applyAlignment="1">
      <alignment horizontal="center" vertical="center" wrapText="1"/>
    </xf>
    <xf numFmtId="1" fontId="18" fillId="0" borderId="16" xfId="1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1" fontId="18" fillId="0" borderId="12" xfId="1" applyNumberFormat="1" applyFont="1" applyBorder="1" applyAlignment="1">
      <alignment horizontal="center" vertical="center" wrapText="1"/>
    </xf>
    <xf numFmtId="1" fontId="18" fillId="0" borderId="13" xfId="1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0" fontId="15" fillId="2" borderId="0" xfId="1" applyNumberFormat="1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" fontId="18" fillId="0" borderId="0" xfId="1" applyNumberFormat="1" applyFont="1" applyBorder="1" applyAlignment="1">
      <alignment horizontal="center" vertical="center" wrapText="1"/>
    </xf>
    <xf numFmtId="10" fontId="15" fillId="0" borderId="17" xfId="0" applyNumberFormat="1" applyFont="1" applyBorder="1"/>
    <xf numFmtId="166" fontId="21" fillId="3" borderId="14" xfId="2" applyNumberFormat="1" applyFont="1" applyFill="1" applyBorder="1"/>
    <xf numFmtId="166" fontId="21" fillId="3" borderId="20" xfId="2" applyNumberFormat="1" applyFont="1" applyFill="1" applyBorder="1" applyAlignment="1">
      <alignment horizontal="right"/>
    </xf>
    <xf numFmtId="166" fontId="21" fillId="3" borderId="15" xfId="2" applyNumberFormat="1" applyFont="1" applyFill="1" applyBorder="1" applyAlignment="1">
      <alignment horizontal="right"/>
    </xf>
    <xf numFmtId="166" fontId="21" fillId="3" borderId="20" xfId="2" applyNumberFormat="1" applyFont="1" applyFill="1" applyBorder="1"/>
    <xf numFmtId="166" fontId="21" fillId="3" borderId="15" xfId="2" applyNumberFormat="1" applyFont="1" applyFill="1" applyBorder="1"/>
    <xf numFmtId="10" fontId="20" fillId="0" borderId="3" xfId="0" applyNumberFormat="1" applyFont="1" applyBorder="1"/>
    <xf numFmtId="43" fontId="15" fillId="0" borderId="0" xfId="1" applyFont="1" applyBorder="1"/>
    <xf numFmtId="0" fontId="15" fillId="0" borderId="17" xfId="0" applyFont="1" applyBorder="1"/>
    <xf numFmtId="43" fontId="15" fillId="2" borderId="0" xfId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0" fontId="15" fillId="0" borderId="17" xfId="0" applyNumberFormat="1" applyFont="1" applyBorder="1" applyAlignment="1">
      <alignment vertical="center"/>
    </xf>
    <xf numFmtId="43" fontId="15" fillId="0" borderId="24" xfId="1" applyFont="1" applyBorder="1" applyAlignment="1">
      <alignment vertical="center"/>
    </xf>
    <xf numFmtId="43" fontId="15" fillId="0" borderId="2" xfId="1" applyFont="1" applyBorder="1"/>
    <xf numFmtId="0" fontId="15" fillId="0" borderId="2" xfId="0" applyFont="1" applyBorder="1"/>
    <xf numFmtId="43" fontId="15" fillId="2" borderId="2" xfId="1" applyFont="1" applyFill="1" applyBorder="1" applyAlignment="1">
      <alignment horizontal="center" vertical="center"/>
    </xf>
    <xf numFmtId="0" fontId="15" fillId="0" borderId="10" xfId="0" applyFont="1" applyBorder="1"/>
    <xf numFmtId="43" fontId="15" fillId="0" borderId="17" xfId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10" fontId="15" fillId="2" borderId="2" xfId="1" applyNumberFormat="1" applyFont="1" applyFill="1" applyBorder="1" applyAlignment="1">
      <alignment horizontal="center" vertical="center"/>
    </xf>
    <xf numFmtId="10" fontId="15" fillId="2" borderId="10" xfId="1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43" fontId="15" fillId="5" borderId="0" xfId="1" applyFont="1" applyFill="1" applyBorder="1"/>
    <xf numFmtId="0" fontId="15" fillId="5" borderId="0" xfId="0" applyFont="1" applyFill="1"/>
    <xf numFmtId="166" fontId="21" fillId="3" borderId="31" xfId="2" applyNumberFormat="1" applyFont="1" applyFill="1" applyBorder="1"/>
    <xf numFmtId="166" fontId="21" fillId="3" borderId="32" xfId="2" applyNumberFormat="1" applyFont="1" applyFill="1" applyBorder="1"/>
    <xf numFmtId="9" fontId="15" fillId="0" borderId="0" xfId="2" applyFont="1" applyBorder="1"/>
    <xf numFmtId="43" fontId="15" fillId="0" borderId="8" xfId="1" applyFont="1" applyBorder="1" applyAlignment="1">
      <alignment vertical="center"/>
    </xf>
    <xf numFmtId="43" fontId="15" fillId="0" borderId="0" xfId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9" fontId="15" fillId="0" borderId="0" xfId="2" applyFont="1"/>
    <xf numFmtId="10" fontId="21" fillId="3" borderId="14" xfId="2" applyNumberFormat="1" applyFont="1" applyFill="1" applyBorder="1"/>
    <xf numFmtId="43" fontId="21" fillId="0" borderId="15" xfId="1" applyFont="1" applyBorder="1"/>
    <xf numFmtId="166" fontId="21" fillId="4" borderId="14" xfId="2" applyNumberFormat="1" applyFont="1" applyFill="1" applyBorder="1" applyAlignment="1">
      <alignment horizontal="right" vertical="center"/>
    </xf>
    <xf numFmtId="166" fontId="21" fillId="4" borderId="20" xfId="2" applyNumberFormat="1" applyFont="1" applyFill="1" applyBorder="1" applyAlignment="1">
      <alignment horizontal="right" vertical="center"/>
    </xf>
    <xf numFmtId="166" fontId="21" fillId="4" borderId="15" xfId="2" applyNumberFormat="1" applyFont="1" applyFill="1" applyBorder="1" applyAlignment="1">
      <alignment horizontal="right" vertical="center"/>
    </xf>
    <xf numFmtId="167" fontId="23" fillId="0" borderId="14" xfId="1" applyNumberFormat="1" applyFont="1" applyFill="1" applyBorder="1" applyAlignment="1">
      <alignment horizontal="center" vertical="center"/>
    </xf>
    <xf numFmtId="167" fontId="23" fillId="0" borderId="15" xfId="1" applyNumberFormat="1" applyFont="1" applyFill="1" applyBorder="1" applyAlignment="1">
      <alignment horizontal="center" vertical="center"/>
    </xf>
    <xf numFmtId="167" fontId="23" fillId="0" borderId="16" xfId="1" applyNumberFormat="1" applyFont="1" applyFill="1" applyBorder="1" applyAlignment="1">
      <alignment horizontal="center" vertical="center"/>
    </xf>
    <xf numFmtId="43" fontId="24" fillId="0" borderId="16" xfId="0" applyNumberFormat="1" applyFont="1" applyBorder="1" applyAlignment="1">
      <alignment horizontal="center"/>
    </xf>
    <xf numFmtId="43" fontId="15" fillId="0" borderId="3" xfId="1" applyFont="1" applyBorder="1" applyAlignment="1">
      <alignment horizontal="center" vertical="top"/>
    </xf>
    <xf numFmtId="14" fontId="15" fillId="0" borderId="14" xfId="1" applyNumberFormat="1" applyFont="1" applyBorder="1" applyAlignment="1">
      <alignment horizontal="center" vertical="center"/>
    </xf>
    <xf numFmtId="14" fontId="15" fillId="0" borderId="15" xfId="1" applyNumberFormat="1" applyFont="1" applyBorder="1" applyAlignment="1">
      <alignment horizontal="center" vertical="center"/>
    </xf>
    <xf numFmtId="14" fontId="15" fillId="0" borderId="16" xfId="1" applyNumberFormat="1" applyFont="1" applyBorder="1" applyAlignment="1">
      <alignment horizontal="center" vertical="center"/>
    </xf>
    <xf numFmtId="14" fontId="22" fillId="0" borderId="15" xfId="1" applyNumberFormat="1" applyFont="1" applyBorder="1" applyAlignment="1">
      <alignment horizontal="left" vertical="center" wrapText="1"/>
    </xf>
    <xf numFmtId="14" fontId="22" fillId="0" borderId="16" xfId="1" applyNumberFormat="1" applyFont="1" applyBorder="1" applyAlignment="1">
      <alignment horizontal="left" vertical="center" wrapText="1"/>
    </xf>
    <xf numFmtId="43" fontId="20" fillId="0" borderId="14" xfId="1" applyFont="1" applyBorder="1" applyAlignment="1">
      <alignment horizontal="center" vertical="center" wrapText="1"/>
    </xf>
    <xf numFmtId="43" fontId="20" fillId="0" borderId="15" xfId="1" applyFont="1" applyBorder="1" applyAlignment="1">
      <alignment horizontal="center" vertical="center" wrapText="1"/>
    </xf>
    <xf numFmtId="43" fontId="20" fillId="0" borderId="16" xfId="1" applyFont="1" applyBorder="1" applyAlignment="1">
      <alignment horizontal="center" vertical="center" wrapText="1"/>
    </xf>
    <xf numFmtId="43" fontId="15" fillId="0" borderId="15" xfId="1" applyFont="1" applyBorder="1" applyAlignment="1">
      <alignment horizontal="center" vertical="center" wrapText="1"/>
    </xf>
    <xf numFmtId="43" fontId="15" fillId="0" borderId="16" xfId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43" fontId="15" fillId="5" borderId="3" xfId="1" applyFont="1" applyFill="1" applyBorder="1" applyAlignment="1">
      <alignment vertical="center"/>
    </xf>
    <xf numFmtId="43" fontId="15" fillId="0" borderId="0" xfId="1" applyFont="1" applyAlignment="1">
      <alignment vertical="center"/>
    </xf>
    <xf numFmtId="43" fontId="20" fillId="0" borderId="3" xfId="1" applyFont="1" applyBorder="1" applyAlignment="1">
      <alignment vertical="center"/>
    </xf>
    <xf numFmtId="43" fontId="15" fillId="5" borderId="16" xfId="1" applyFont="1" applyFill="1" applyBorder="1" applyAlignment="1">
      <alignment vertical="center"/>
    </xf>
    <xf numFmtId="43" fontId="20" fillId="0" borderId="18" xfId="1" applyFont="1" applyBorder="1" applyAlignment="1">
      <alignment vertical="center"/>
    </xf>
    <xf numFmtId="43" fontId="20" fillId="0" borderId="12" xfId="1" applyFont="1" applyBorder="1" applyAlignment="1">
      <alignment vertical="center"/>
    </xf>
    <xf numFmtId="43" fontId="19" fillId="0" borderId="3" xfId="1" applyFont="1" applyBorder="1" applyAlignment="1">
      <alignment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135948</xdr:colOff>
      <xdr:row>0</xdr:row>
      <xdr:rowOff>34636</xdr:rowOff>
    </xdr:from>
    <xdr:ext cx="1000125" cy="676275"/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48" y="34636"/>
          <a:ext cx="1000125" cy="676275"/>
        </a:xfrm>
        <a:prstGeom prst="rect">
          <a:avLst/>
        </a:prstGeom>
      </xdr:spPr>
    </xdr:pic>
    <xdr:clientData/>
  </xdr:oneCellAnchor>
  <xdr:oneCellAnchor>
    <xdr:from>
      <xdr:col>4</xdr:col>
      <xdr:colOff>116898</xdr:colOff>
      <xdr:row>0</xdr:row>
      <xdr:rowOff>38101</xdr:rowOff>
    </xdr:from>
    <xdr:ext cx="866775" cy="304800"/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38101"/>
          <a:ext cx="866775" cy="3048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80493</xdr:colOff>
      <xdr:row>0</xdr:row>
      <xdr:rowOff>53663</xdr:rowOff>
    </xdr:from>
    <xdr:to>
      <xdr:col>2</xdr:col>
      <xdr:colOff>523204</xdr:colOff>
      <xdr:row>1</xdr:row>
      <xdr:rowOff>73402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3" y="53663"/>
          <a:ext cx="3085563" cy="878331"/>
        </a:xfrm>
        <a:prstGeom prst="rect">
          <a:avLst/>
        </a:prstGeom>
      </xdr:spPr>
    </xdr:pic>
    <xdr:clientData/>
  </xdr:twoCellAnchor>
  <xdr:twoCellAnchor editAs="absolute">
    <xdr:from>
      <xdr:col>26</xdr:col>
      <xdr:colOff>134155</xdr:colOff>
      <xdr:row>0</xdr:row>
      <xdr:rowOff>13417</xdr:rowOff>
    </xdr:from>
    <xdr:to>
      <xdr:col>28</xdr:col>
      <xdr:colOff>831761</xdr:colOff>
      <xdr:row>1</xdr:row>
      <xdr:rowOff>26043</xdr:rowOff>
    </xdr:to>
    <xdr:pic>
      <xdr:nvPicPr>
        <xdr:cNvPr id="7" name="Imagem 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35498" r="24576" b="34632"/>
        <a:stretch/>
      </xdr:blipFill>
      <xdr:spPr>
        <a:xfrm>
          <a:off x="13911866" y="13417"/>
          <a:ext cx="1502536" cy="87121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110" zoomScaleNormal="110" workbookViewId="0">
      <selection activeCell="A11" sqref="A11:B11"/>
    </sheetView>
  </sheetViews>
  <sheetFormatPr defaultRowHeight="15" x14ac:dyDescent="0.25"/>
  <cols>
    <col min="1" max="1" width="18.7109375" customWidth="1"/>
    <col min="2" max="2" width="20.85546875" customWidth="1"/>
    <col min="3" max="3" width="15.7109375" customWidth="1"/>
    <col min="4" max="4" width="20.7109375" customWidth="1"/>
    <col min="5" max="5" width="15.7109375" customWidth="1"/>
  </cols>
  <sheetData>
    <row r="1" spans="1:5" ht="61.5" customHeight="1" x14ac:dyDescent="0.25">
      <c r="A1" s="1"/>
      <c r="B1" s="90" t="s">
        <v>9</v>
      </c>
      <c r="C1" s="90"/>
      <c r="D1" s="90"/>
      <c r="E1" s="2"/>
    </row>
    <row r="2" spans="1:5" ht="17.25" customHeight="1" x14ac:dyDescent="0.25">
      <c r="A2" s="96" t="s">
        <v>11</v>
      </c>
      <c r="B2" s="97"/>
      <c r="C2" s="97"/>
      <c r="D2" s="97"/>
      <c r="E2" s="98"/>
    </row>
    <row r="3" spans="1:5" ht="6.75" customHeight="1" x14ac:dyDescent="0.25">
      <c r="A3" s="3"/>
      <c r="B3" s="5"/>
      <c r="C3" s="6"/>
      <c r="D3" s="6"/>
      <c r="E3" s="4"/>
    </row>
    <row r="4" spans="1:5" ht="18.75" x14ac:dyDescent="0.3">
      <c r="A4" s="91" t="s">
        <v>7</v>
      </c>
      <c r="B4" s="92"/>
      <c r="C4" s="92"/>
      <c r="D4" s="92"/>
      <c r="E4" s="93"/>
    </row>
    <row r="5" spans="1:5" ht="6.75" customHeight="1" thickBot="1" x14ac:dyDescent="0.3">
      <c r="A5" s="45"/>
      <c r="B5" s="46"/>
      <c r="C5" s="47"/>
      <c r="D5" s="47"/>
      <c r="E5" s="48"/>
    </row>
    <row r="6" spans="1:5" ht="51" customHeight="1" thickBot="1" x14ac:dyDescent="0.3">
      <c r="A6" s="49" t="s">
        <v>23</v>
      </c>
      <c r="B6" s="88" t="s">
        <v>44</v>
      </c>
      <c r="C6" s="88"/>
      <c r="D6" s="88"/>
      <c r="E6" s="89"/>
    </row>
    <row r="7" spans="1:5" s="44" customFormat="1" ht="32.25" customHeight="1" thickBot="1" x14ac:dyDescent="0.3">
      <c r="A7" s="94" t="s">
        <v>0</v>
      </c>
      <c r="B7" s="95"/>
      <c r="C7" s="50" t="s">
        <v>35</v>
      </c>
      <c r="D7" s="51" t="s">
        <v>14</v>
      </c>
      <c r="E7" s="50" t="s">
        <v>36</v>
      </c>
    </row>
    <row r="8" spans="1:5" ht="15.75" thickBot="1" x14ac:dyDescent="0.3">
      <c r="A8" s="41" t="s">
        <v>1</v>
      </c>
      <c r="B8" s="42"/>
      <c r="C8" s="33"/>
      <c r="D8" s="33"/>
      <c r="E8" s="33"/>
    </row>
    <row r="9" spans="1:5" x14ac:dyDescent="0.25">
      <c r="A9" s="80" t="s">
        <v>22</v>
      </c>
      <c r="B9" s="81"/>
      <c r="C9" s="24">
        <f>2*18*1500</f>
        <v>54000</v>
      </c>
      <c r="D9" s="30"/>
      <c r="E9" s="27">
        <f>C9+D9</f>
        <v>54000</v>
      </c>
    </row>
    <row r="10" spans="1:5" x14ac:dyDescent="0.25">
      <c r="A10" s="82" t="s">
        <v>25</v>
      </c>
      <c r="B10" s="83"/>
      <c r="C10" s="28">
        <f>2*12*2500</f>
        <v>60000</v>
      </c>
      <c r="D10" s="26"/>
      <c r="E10" s="28">
        <f t="shared" ref="E10:E14" si="0">C10+D10</f>
        <v>60000</v>
      </c>
    </row>
    <row r="11" spans="1:5" ht="18.75" customHeight="1" x14ac:dyDescent="0.25">
      <c r="A11" s="84" t="s">
        <v>26</v>
      </c>
      <c r="B11" s="85"/>
      <c r="C11" s="7">
        <f>1*12*3700</f>
        <v>44400</v>
      </c>
      <c r="D11" s="26"/>
      <c r="E11" s="28">
        <f t="shared" si="0"/>
        <v>44400</v>
      </c>
    </row>
    <row r="12" spans="1:5" x14ac:dyDescent="0.25">
      <c r="A12" s="82" t="s">
        <v>27</v>
      </c>
      <c r="B12" s="83"/>
      <c r="C12" s="28">
        <f>2*12*3700</f>
        <v>88800</v>
      </c>
      <c r="D12" s="26"/>
      <c r="E12" s="28">
        <f t="shared" si="0"/>
        <v>88800</v>
      </c>
    </row>
    <row r="13" spans="1:5" ht="15.75" thickBot="1" x14ac:dyDescent="0.3">
      <c r="A13" s="86" t="s">
        <v>24</v>
      </c>
      <c r="B13" s="87"/>
      <c r="C13" s="25">
        <f>1*24*6900</f>
        <v>165600</v>
      </c>
      <c r="D13" s="32"/>
      <c r="E13" s="29">
        <f t="shared" si="0"/>
        <v>165600</v>
      </c>
    </row>
    <row r="14" spans="1:5" ht="15.75" thickBot="1" x14ac:dyDescent="0.3">
      <c r="A14" s="36" t="s">
        <v>8</v>
      </c>
      <c r="B14" s="37"/>
      <c r="C14" s="31">
        <f>SUM(C9:C13)</f>
        <v>412800</v>
      </c>
      <c r="D14" s="35"/>
      <c r="E14" s="8">
        <f t="shared" si="0"/>
        <v>412800</v>
      </c>
    </row>
    <row r="15" spans="1:5" ht="15.75" thickBot="1" x14ac:dyDescent="0.3">
      <c r="A15" s="41" t="s">
        <v>2</v>
      </c>
      <c r="B15" s="42"/>
      <c r="C15" s="33"/>
      <c r="D15" s="34"/>
      <c r="E15" s="33"/>
    </row>
    <row r="16" spans="1:5" ht="28.5" customHeight="1" x14ac:dyDescent="0.25">
      <c r="A16" s="76" t="s">
        <v>40</v>
      </c>
      <c r="B16" s="77"/>
      <c r="C16" s="52">
        <f>24*500</f>
        <v>12000</v>
      </c>
      <c r="D16" s="66"/>
      <c r="E16" s="59">
        <f>SUM(C16:D16)</f>
        <v>12000</v>
      </c>
    </row>
    <row r="17" spans="1:5" ht="57.95" customHeight="1" x14ac:dyDescent="0.25">
      <c r="A17" s="78" t="s">
        <v>28</v>
      </c>
      <c r="B17" s="79"/>
      <c r="C17" s="53">
        <v>204000</v>
      </c>
      <c r="D17" s="67"/>
      <c r="E17" s="60">
        <f t="shared" ref="E17" si="1">SUM(C17:D17)</f>
        <v>204000</v>
      </c>
    </row>
    <row r="18" spans="1:5" ht="57.95" customHeight="1" x14ac:dyDescent="0.25">
      <c r="A18" s="101" t="s">
        <v>37</v>
      </c>
      <c r="B18" s="102"/>
      <c r="C18" s="54">
        <f>20*3100</f>
        <v>62000</v>
      </c>
      <c r="D18" s="67"/>
      <c r="E18" s="60">
        <f>C18</f>
        <v>62000</v>
      </c>
    </row>
    <row r="19" spans="1:5" ht="57.95" customHeight="1" x14ac:dyDescent="0.25">
      <c r="A19" s="117" t="s">
        <v>41</v>
      </c>
      <c r="B19" s="118"/>
      <c r="C19" s="53">
        <f>48250</f>
        <v>48250</v>
      </c>
      <c r="D19" s="67"/>
      <c r="E19" s="60">
        <f>C19</f>
        <v>48250</v>
      </c>
    </row>
    <row r="20" spans="1:5" ht="42" customHeight="1" x14ac:dyDescent="0.25">
      <c r="A20" s="113" t="s">
        <v>31</v>
      </c>
      <c r="B20" s="114"/>
      <c r="C20" s="54">
        <f>10000+ 40000</f>
        <v>50000</v>
      </c>
      <c r="D20" s="67"/>
      <c r="E20" s="60">
        <f>C20</f>
        <v>50000</v>
      </c>
    </row>
    <row r="21" spans="1:5" ht="28.5" customHeight="1" thickBot="1" x14ac:dyDescent="0.3">
      <c r="A21" s="103" t="s">
        <v>38</v>
      </c>
      <c r="B21" s="104"/>
      <c r="C21" s="55"/>
      <c r="D21" s="68">
        <f>C27*0.05</f>
        <v>39999.5</v>
      </c>
      <c r="E21" s="61">
        <f>SUM(C21:D21)</f>
        <v>39999.5</v>
      </c>
    </row>
    <row r="22" spans="1:5" ht="15.75" customHeight="1" thickBot="1" x14ac:dyDescent="0.3">
      <c r="A22" s="41" t="s">
        <v>3</v>
      </c>
      <c r="B22" s="43"/>
      <c r="C22" s="8">
        <f>SUM(C16:C21)</f>
        <v>376250</v>
      </c>
      <c r="D22" s="69"/>
      <c r="E22" s="62">
        <f>SUM(E16:E21)</f>
        <v>416249.5</v>
      </c>
    </row>
    <row r="23" spans="1:5" ht="15.75" customHeight="1" thickBot="1" x14ac:dyDescent="0.3">
      <c r="A23" s="39" t="s">
        <v>4</v>
      </c>
      <c r="B23" s="40"/>
      <c r="C23" s="57"/>
      <c r="D23" s="33"/>
      <c r="E23" s="34"/>
    </row>
    <row r="24" spans="1:5" ht="16.5" customHeight="1" x14ac:dyDescent="0.25">
      <c r="A24" s="109" t="s">
        <v>42</v>
      </c>
      <c r="B24" s="110"/>
      <c r="C24" s="58">
        <f>2*5470</f>
        <v>10940</v>
      </c>
      <c r="D24" s="70"/>
      <c r="E24" s="63">
        <f>SUM(C24:D24)</f>
        <v>10940</v>
      </c>
    </row>
    <row r="25" spans="1:5" ht="16.5" customHeight="1" thickBot="1" x14ac:dyDescent="0.3">
      <c r="A25" s="111" t="s">
        <v>39</v>
      </c>
      <c r="B25" s="112"/>
      <c r="C25" s="73"/>
      <c r="D25" s="28"/>
      <c r="E25" s="64"/>
    </row>
    <row r="26" spans="1:5" ht="16.5" customHeight="1" thickBot="1" x14ac:dyDescent="0.3">
      <c r="A26" s="36" t="s">
        <v>5</v>
      </c>
      <c r="B26" s="72"/>
      <c r="C26" s="8">
        <f>SUM(C24:C25)</f>
        <v>10940</v>
      </c>
      <c r="D26" s="71"/>
      <c r="E26" s="65">
        <f>SUM(E23:E25)</f>
        <v>10940</v>
      </c>
    </row>
    <row r="27" spans="1:5" ht="16.5" customHeight="1" thickBot="1" x14ac:dyDescent="0.3">
      <c r="A27" s="41" t="s">
        <v>6</v>
      </c>
      <c r="B27" s="38"/>
      <c r="C27" s="56">
        <f>C14+C22+C26</f>
        <v>799990</v>
      </c>
      <c r="D27" s="8">
        <f>SUM(D8:D26)</f>
        <v>39999.5</v>
      </c>
      <c r="E27" s="62">
        <f>E14+E22+E26</f>
        <v>839989.5</v>
      </c>
    </row>
    <row r="28" spans="1:5" ht="28.5" customHeight="1" thickBot="1" x14ac:dyDescent="0.3">
      <c r="A28" s="105" t="s">
        <v>10</v>
      </c>
      <c r="B28" s="106"/>
      <c r="C28" s="75" t="s">
        <v>12</v>
      </c>
      <c r="D28" s="115">
        <v>45071</v>
      </c>
      <c r="E28" s="116"/>
    </row>
    <row r="29" spans="1:5" ht="62.25" customHeight="1" thickBot="1" x14ac:dyDescent="0.3">
      <c r="A29" s="107"/>
      <c r="B29" s="108"/>
      <c r="C29" s="74" t="s">
        <v>30</v>
      </c>
      <c r="D29" s="99" t="s">
        <v>29</v>
      </c>
      <c r="E29" s="100"/>
    </row>
  </sheetData>
  <mergeCells count="21">
    <mergeCell ref="D29:E29"/>
    <mergeCell ref="A18:B18"/>
    <mergeCell ref="A21:B21"/>
    <mergeCell ref="A28:B29"/>
    <mergeCell ref="A24:B24"/>
    <mergeCell ref="A25:B25"/>
    <mergeCell ref="A20:B20"/>
    <mergeCell ref="D28:E28"/>
    <mergeCell ref="A19:B19"/>
    <mergeCell ref="B6:E6"/>
    <mergeCell ref="B1:D1"/>
    <mergeCell ref="A4:E4"/>
    <mergeCell ref="A7:B7"/>
    <mergeCell ref="A2:E2"/>
    <mergeCell ref="A16:B16"/>
    <mergeCell ref="A17:B17"/>
    <mergeCell ref="A9:B9"/>
    <mergeCell ref="A10:B10"/>
    <mergeCell ref="A11:B11"/>
    <mergeCell ref="A12:B12"/>
    <mergeCell ref="A13:B13"/>
  </mergeCells>
  <printOptions horizontalCentered="1" verticalCentered="1"/>
  <pageMargins left="0.59055118110236227" right="0.39370078740157483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zoomScale="71" zoomScaleNormal="71" workbookViewId="0">
      <selection activeCell="AE4" sqref="AE4"/>
    </sheetView>
  </sheetViews>
  <sheetFormatPr defaultRowHeight="15" x14ac:dyDescent="0.25"/>
  <cols>
    <col min="1" max="1" width="18.7109375" customWidth="1"/>
    <col min="2" max="2" width="20.85546875" customWidth="1"/>
    <col min="3" max="3" width="17.28515625" bestFit="1" customWidth="1"/>
    <col min="4" max="4" width="16.85546875" bestFit="1" customWidth="1"/>
    <col min="5" max="28" width="6" customWidth="1"/>
    <col min="29" max="29" width="17.28515625" bestFit="1" customWidth="1"/>
    <col min="32" max="32" width="11.5703125" bestFit="1" customWidth="1"/>
    <col min="33" max="33" width="9.140625" style="11"/>
  </cols>
  <sheetData>
    <row r="1" spans="1:34" s="119" customFormat="1" ht="67.5" customHeight="1" thickTop="1" thickBot="1" x14ac:dyDescent="0.3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3"/>
      <c r="AG1" s="120"/>
    </row>
    <row r="2" spans="1:34" ht="18.75" customHeight="1" x14ac:dyDescent="0.25">
      <c r="A2" s="124"/>
      <c r="B2" s="125" t="s">
        <v>16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6"/>
    </row>
    <row r="3" spans="1:34" ht="6.75" customHeight="1" thickBot="1" x14ac:dyDescent="0.3">
      <c r="A3" s="127"/>
      <c r="B3" s="128"/>
      <c r="C3" s="128"/>
      <c r="D3" s="129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2"/>
    </row>
    <row r="4" spans="1:34" ht="27.75" customHeight="1" thickBot="1" x14ac:dyDescent="0.3">
      <c r="A4" s="133" t="s">
        <v>15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 t="s">
        <v>45</v>
      </c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5"/>
    </row>
    <row r="5" spans="1:34" ht="28.5" customHeight="1" thickBot="1" x14ac:dyDescent="0.3">
      <c r="A5" s="136" t="s">
        <v>0</v>
      </c>
      <c r="B5" s="137"/>
      <c r="C5" s="231" t="s">
        <v>36</v>
      </c>
      <c r="D5" s="231" t="s">
        <v>43</v>
      </c>
      <c r="E5" s="138" t="s">
        <v>17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40"/>
      <c r="Q5" s="138" t="s">
        <v>18</v>
      </c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41" t="s">
        <v>19</v>
      </c>
    </row>
    <row r="6" spans="1:34" ht="16.5" thickBot="1" x14ac:dyDescent="0.3">
      <c r="A6" s="212" t="s">
        <v>21</v>
      </c>
      <c r="B6" s="213"/>
      <c r="C6" s="225"/>
      <c r="D6" s="225"/>
      <c r="E6" s="142">
        <v>1</v>
      </c>
      <c r="F6" s="143">
        <f>E6+1</f>
        <v>2</v>
      </c>
      <c r="G6" s="143">
        <f t="shared" ref="G6:AB6" si="0">F6+1</f>
        <v>3</v>
      </c>
      <c r="H6" s="143">
        <f t="shared" si="0"/>
        <v>4</v>
      </c>
      <c r="I6" s="143">
        <f t="shared" si="0"/>
        <v>5</v>
      </c>
      <c r="J6" s="143">
        <f t="shared" si="0"/>
        <v>6</v>
      </c>
      <c r="K6" s="143">
        <f t="shared" si="0"/>
        <v>7</v>
      </c>
      <c r="L6" s="143">
        <f t="shared" si="0"/>
        <v>8</v>
      </c>
      <c r="M6" s="143">
        <f t="shared" si="0"/>
        <v>9</v>
      </c>
      <c r="N6" s="143">
        <f t="shared" si="0"/>
        <v>10</v>
      </c>
      <c r="O6" s="143">
        <f t="shared" si="0"/>
        <v>11</v>
      </c>
      <c r="P6" s="143">
        <f t="shared" si="0"/>
        <v>12</v>
      </c>
      <c r="Q6" s="143">
        <f t="shared" si="0"/>
        <v>13</v>
      </c>
      <c r="R6" s="143">
        <f t="shared" si="0"/>
        <v>14</v>
      </c>
      <c r="S6" s="143">
        <f t="shared" si="0"/>
        <v>15</v>
      </c>
      <c r="T6" s="143">
        <f t="shared" si="0"/>
        <v>16</v>
      </c>
      <c r="U6" s="143">
        <f t="shared" si="0"/>
        <v>17</v>
      </c>
      <c r="V6" s="143">
        <f t="shared" si="0"/>
        <v>18</v>
      </c>
      <c r="W6" s="143">
        <f t="shared" si="0"/>
        <v>19</v>
      </c>
      <c r="X6" s="143">
        <f t="shared" si="0"/>
        <v>20</v>
      </c>
      <c r="Y6" s="143">
        <f t="shared" si="0"/>
        <v>21</v>
      </c>
      <c r="Z6" s="143">
        <f t="shared" si="0"/>
        <v>22</v>
      </c>
      <c r="AA6" s="143">
        <f t="shared" si="0"/>
        <v>23</v>
      </c>
      <c r="AB6" s="143">
        <f t="shared" si="0"/>
        <v>24</v>
      </c>
      <c r="AC6" s="144"/>
    </row>
    <row r="7" spans="1:34" ht="20.25" customHeight="1" x14ac:dyDescent="0.25">
      <c r="A7" s="208" t="str">
        <f>QUF!A9</f>
        <v>Bolsa Nível 1 (R$ 1.500,00 x 2 x 18 meses)</v>
      </c>
      <c r="B7" s="209"/>
      <c r="C7" s="177">
        <f>QUF!C9</f>
        <v>54000</v>
      </c>
      <c r="D7" s="166"/>
      <c r="E7" s="145"/>
      <c r="F7" s="145"/>
      <c r="G7" s="145"/>
      <c r="H7" s="146" t="s">
        <v>20</v>
      </c>
      <c r="I7" s="146" t="s">
        <v>20</v>
      </c>
      <c r="J7" s="146" t="s">
        <v>20</v>
      </c>
      <c r="K7" s="146" t="s">
        <v>20</v>
      </c>
      <c r="L7" s="146" t="s">
        <v>20</v>
      </c>
      <c r="M7" s="146" t="s">
        <v>20</v>
      </c>
      <c r="N7" s="146" t="s">
        <v>20</v>
      </c>
      <c r="O7" s="146" t="s">
        <v>20</v>
      </c>
      <c r="P7" s="146" t="s">
        <v>20</v>
      </c>
      <c r="Q7" s="146" t="s">
        <v>20</v>
      </c>
      <c r="R7" s="146" t="s">
        <v>20</v>
      </c>
      <c r="S7" s="146" t="s">
        <v>20</v>
      </c>
      <c r="T7" s="146" t="s">
        <v>20</v>
      </c>
      <c r="U7" s="146" t="s">
        <v>20</v>
      </c>
      <c r="V7" s="146" t="s">
        <v>20</v>
      </c>
      <c r="W7" s="146" t="s">
        <v>20</v>
      </c>
      <c r="X7" s="146" t="s">
        <v>20</v>
      </c>
      <c r="Y7" s="146" t="s">
        <v>20</v>
      </c>
      <c r="Z7" s="145"/>
      <c r="AA7" s="145"/>
      <c r="AB7" s="145"/>
      <c r="AC7" s="147"/>
      <c r="AE7" s="9"/>
    </row>
    <row r="8" spans="1:34" ht="21" customHeight="1" x14ac:dyDescent="0.25">
      <c r="A8" s="210" t="str">
        <f>QUF!A10</f>
        <v>Bolsa Nível 2 (R$ 2.500,00 x 2 x 12 meses)</v>
      </c>
      <c r="B8" s="211"/>
      <c r="C8" s="177">
        <f>QUF!C10</f>
        <v>60000</v>
      </c>
      <c r="D8" s="166"/>
      <c r="E8" s="146" t="s">
        <v>20</v>
      </c>
      <c r="F8" s="146" t="s">
        <v>20</v>
      </c>
      <c r="G8" s="146" t="s">
        <v>20</v>
      </c>
      <c r="H8" s="146" t="s">
        <v>20</v>
      </c>
      <c r="I8" s="146" t="s">
        <v>20</v>
      </c>
      <c r="J8" s="146" t="s">
        <v>20</v>
      </c>
      <c r="K8" s="146" t="s">
        <v>20</v>
      </c>
      <c r="L8" s="146" t="s">
        <v>20</v>
      </c>
      <c r="M8" s="146" t="s">
        <v>20</v>
      </c>
      <c r="N8" s="146" t="s">
        <v>20</v>
      </c>
      <c r="O8" s="146" t="s">
        <v>20</v>
      </c>
      <c r="P8" s="146" t="s">
        <v>20</v>
      </c>
      <c r="Q8" s="146" t="s">
        <v>20</v>
      </c>
      <c r="R8" s="146" t="s">
        <v>20</v>
      </c>
      <c r="S8" s="146" t="s">
        <v>20</v>
      </c>
      <c r="T8" s="146" t="s">
        <v>20</v>
      </c>
      <c r="U8" s="146" t="s">
        <v>20</v>
      </c>
      <c r="V8" s="146" t="s">
        <v>20</v>
      </c>
      <c r="W8" s="146" t="s">
        <v>20</v>
      </c>
      <c r="X8" s="146" t="s">
        <v>20</v>
      </c>
      <c r="Y8" s="146" t="s">
        <v>20</v>
      </c>
      <c r="Z8" s="146" t="s">
        <v>20</v>
      </c>
      <c r="AA8" s="146" t="s">
        <v>20</v>
      </c>
      <c r="AB8" s="146" t="s">
        <v>20</v>
      </c>
      <c r="AC8" s="147"/>
      <c r="AE8" s="9"/>
    </row>
    <row r="9" spans="1:34" ht="18.75" customHeight="1" x14ac:dyDescent="0.25">
      <c r="A9" s="210" t="str">
        <f>QUF!A11</f>
        <v>Bolsa Nível 3 (R$ 3.700,00 x 1 x 12 meses)</v>
      </c>
      <c r="B9" s="211"/>
      <c r="C9" s="177">
        <f>QUF!C11</f>
        <v>44400</v>
      </c>
      <c r="D9" s="166"/>
      <c r="E9" s="148"/>
      <c r="F9" s="148"/>
      <c r="G9" s="148"/>
      <c r="H9" s="145"/>
      <c r="I9" s="145"/>
      <c r="J9" s="145"/>
      <c r="K9" s="146" t="s">
        <v>20</v>
      </c>
      <c r="L9" s="146" t="s">
        <v>20</v>
      </c>
      <c r="M9" s="146" t="s">
        <v>20</v>
      </c>
      <c r="N9" s="146" t="s">
        <v>20</v>
      </c>
      <c r="O9" s="146" t="s">
        <v>20</v>
      </c>
      <c r="P9" s="146" t="s">
        <v>20</v>
      </c>
      <c r="Q9" s="146" t="s">
        <v>20</v>
      </c>
      <c r="R9" s="146" t="s">
        <v>20</v>
      </c>
      <c r="S9" s="146" t="s">
        <v>20</v>
      </c>
      <c r="T9" s="146" t="s">
        <v>20</v>
      </c>
      <c r="U9" s="146" t="s">
        <v>20</v>
      </c>
      <c r="V9" s="146" t="s">
        <v>20</v>
      </c>
      <c r="W9" s="145"/>
      <c r="X9" s="145"/>
      <c r="Y9" s="145"/>
      <c r="Z9" s="148"/>
      <c r="AA9" s="148"/>
      <c r="AB9" s="148"/>
      <c r="AC9" s="147"/>
      <c r="AE9" s="9"/>
    </row>
    <row r="10" spans="1:34" ht="19.5" customHeight="1" x14ac:dyDescent="0.25">
      <c r="A10" s="210" t="str">
        <f>QUF!A12</f>
        <v>Bolsa Nível 3 (R$ 3.700,00 x 2 x 12 meses)</v>
      </c>
      <c r="B10" s="211"/>
      <c r="C10" s="226">
        <f>QUF!C12</f>
        <v>88800</v>
      </c>
      <c r="D10" s="166"/>
      <c r="E10" s="146" t="s">
        <v>20</v>
      </c>
      <c r="F10" s="146" t="s">
        <v>20</v>
      </c>
      <c r="G10" s="146" t="s">
        <v>20</v>
      </c>
      <c r="H10" s="146" t="s">
        <v>20</v>
      </c>
      <c r="I10" s="146" t="s">
        <v>20</v>
      </c>
      <c r="J10" s="146" t="s">
        <v>20</v>
      </c>
      <c r="K10" s="146" t="s">
        <v>20</v>
      </c>
      <c r="L10" s="146" t="s">
        <v>20</v>
      </c>
      <c r="M10" s="146" t="s">
        <v>20</v>
      </c>
      <c r="N10" s="146" t="s">
        <v>20</v>
      </c>
      <c r="O10" s="146" t="s">
        <v>20</v>
      </c>
      <c r="P10" s="146" t="s">
        <v>20</v>
      </c>
      <c r="Q10" s="146" t="s">
        <v>20</v>
      </c>
      <c r="R10" s="146" t="s">
        <v>20</v>
      </c>
      <c r="S10" s="146" t="s">
        <v>20</v>
      </c>
      <c r="T10" s="146" t="s">
        <v>20</v>
      </c>
      <c r="U10" s="146" t="s">
        <v>20</v>
      </c>
      <c r="V10" s="146" t="s">
        <v>20</v>
      </c>
      <c r="W10" s="146" t="s">
        <v>20</v>
      </c>
      <c r="X10" s="146" t="s">
        <v>20</v>
      </c>
      <c r="Y10" s="146" t="s">
        <v>20</v>
      </c>
      <c r="Z10" s="146" t="s">
        <v>20</v>
      </c>
      <c r="AA10" s="146" t="s">
        <v>20</v>
      </c>
      <c r="AB10" s="146" t="s">
        <v>20</v>
      </c>
      <c r="AC10" s="149"/>
      <c r="AE10" s="9"/>
    </row>
    <row r="11" spans="1:34" ht="20.25" customHeight="1" thickBot="1" x14ac:dyDescent="0.3">
      <c r="A11" s="180" t="str">
        <f>QUF!A13</f>
        <v>Bolsa Nível 4 (R$ 6.900,00 x 1 x 24 meses)</v>
      </c>
      <c r="B11" s="181"/>
      <c r="C11" s="177">
        <f>QUF!C13</f>
        <v>165600</v>
      </c>
      <c r="D11" s="166"/>
      <c r="E11" s="146" t="s">
        <v>20</v>
      </c>
      <c r="F11" s="146" t="s">
        <v>20</v>
      </c>
      <c r="G11" s="146" t="s">
        <v>20</v>
      </c>
      <c r="H11" s="146" t="s">
        <v>20</v>
      </c>
      <c r="I11" s="146" t="s">
        <v>20</v>
      </c>
      <c r="J11" s="146" t="s">
        <v>20</v>
      </c>
      <c r="K11" s="146" t="s">
        <v>20</v>
      </c>
      <c r="L11" s="146" t="s">
        <v>20</v>
      </c>
      <c r="M11" s="146" t="s">
        <v>20</v>
      </c>
      <c r="N11" s="146" t="s">
        <v>20</v>
      </c>
      <c r="O11" s="146" t="s">
        <v>20</v>
      </c>
      <c r="P11" s="146" t="s">
        <v>20</v>
      </c>
      <c r="Q11" s="146" t="s">
        <v>20</v>
      </c>
      <c r="R11" s="146" t="s">
        <v>20</v>
      </c>
      <c r="S11" s="146" t="s">
        <v>20</v>
      </c>
      <c r="T11" s="146" t="s">
        <v>20</v>
      </c>
      <c r="U11" s="146" t="s">
        <v>20</v>
      </c>
      <c r="V11" s="146" t="s">
        <v>20</v>
      </c>
      <c r="W11" s="146" t="s">
        <v>20</v>
      </c>
      <c r="X11" s="146" t="s">
        <v>20</v>
      </c>
      <c r="Y11" s="146" t="s">
        <v>20</v>
      </c>
      <c r="Z11" s="146" t="s">
        <v>20</v>
      </c>
      <c r="AA11" s="146" t="s">
        <v>20</v>
      </c>
      <c r="AB11" s="146" t="s">
        <v>20</v>
      </c>
      <c r="AC11" s="149"/>
      <c r="AE11" s="9"/>
    </row>
    <row r="12" spans="1:34" ht="18.75" customHeight="1" thickBot="1" x14ac:dyDescent="0.3">
      <c r="A12" s="212" t="s">
        <v>8</v>
      </c>
      <c r="B12" s="214"/>
      <c r="C12" s="227">
        <f>SUM(C7:C11)</f>
        <v>412800</v>
      </c>
      <c r="D12" s="227">
        <f>D10+D11</f>
        <v>0</v>
      </c>
      <c r="E12" s="150">
        <f>(6900+3700+2500)/C25</f>
        <v>1.6375204690058626E-2</v>
      </c>
      <c r="F12" s="151">
        <f>E12</f>
        <v>1.6375204690058626E-2</v>
      </c>
      <c r="G12" s="152">
        <f t="shared" ref="G12:AA12" si="1">F12</f>
        <v>1.6375204690058626E-2</v>
      </c>
      <c r="H12" s="153">
        <f>(6900+3700+2500+3000)/C25</f>
        <v>2.012525156564457E-2</v>
      </c>
      <c r="I12" s="152">
        <f t="shared" si="1"/>
        <v>2.012525156564457E-2</v>
      </c>
      <c r="J12" s="151">
        <f t="shared" si="1"/>
        <v>2.012525156564457E-2</v>
      </c>
      <c r="K12" s="154">
        <f>(6900+3700+2500+3000+3700)/C25</f>
        <v>2.4750309378867234E-2</v>
      </c>
      <c r="L12" s="151">
        <f t="shared" si="1"/>
        <v>2.4750309378867234E-2</v>
      </c>
      <c r="M12" s="152">
        <f t="shared" si="1"/>
        <v>2.4750309378867234E-2</v>
      </c>
      <c r="N12" s="151">
        <f t="shared" si="1"/>
        <v>2.4750309378867234E-2</v>
      </c>
      <c r="O12" s="152">
        <f t="shared" si="1"/>
        <v>2.4750309378867234E-2</v>
      </c>
      <c r="P12" s="151">
        <f t="shared" si="1"/>
        <v>2.4750309378867234E-2</v>
      </c>
      <c r="Q12" s="152">
        <f t="shared" si="1"/>
        <v>2.4750309378867234E-2</v>
      </c>
      <c r="R12" s="151">
        <f t="shared" si="1"/>
        <v>2.4750309378867234E-2</v>
      </c>
      <c r="S12" s="152">
        <f t="shared" si="1"/>
        <v>2.4750309378867234E-2</v>
      </c>
      <c r="T12" s="151">
        <f t="shared" si="1"/>
        <v>2.4750309378867234E-2</v>
      </c>
      <c r="U12" s="152">
        <f t="shared" si="1"/>
        <v>2.4750309378867234E-2</v>
      </c>
      <c r="V12" s="151">
        <f t="shared" si="1"/>
        <v>2.4750309378867234E-2</v>
      </c>
      <c r="W12" s="154">
        <f>(6900+2500+3000+3700)/C25</f>
        <v>2.012525156564457E-2</v>
      </c>
      <c r="X12" s="151">
        <f t="shared" si="1"/>
        <v>2.012525156564457E-2</v>
      </c>
      <c r="Y12" s="152">
        <f t="shared" si="1"/>
        <v>2.012525156564457E-2</v>
      </c>
      <c r="Z12" s="153">
        <f>(6900+2500+3700)/C25</f>
        <v>1.6375204690058626E-2</v>
      </c>
      <c r="AA12" s="151">
        <f t="shared" si="1"/>
        <v>1.6375204690058626E-2</v>
      </c>
      <c r="AB12" s="152">
        <f>AA12</f>
        <v>1.6375204690058626E-2</v>
      </c>
      <c r="AC12" s="155">
        <f>SUM(E12:AB12)</f>
        <v>0.51600645008062607</v>
      </c>
      <c r="AE12" s="9"/>
      <c r="AF12" s="12"/>
      <c r="AH12" s="13"/>
    </row>
    <row r="13" spans="1:34" ht="15.75" thickBot="1" x14ac:dyDescent="0.3">
      <c r="A13" s="212" t="s">
        <v>2</v>
      </c>
      <c r="B13" s="213"/>
      <c r="C13" s="225"/>
      <c r="D13" s="225"/>
      <c r="E13" s="156"/>
      <c r="F13" s="156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57"/>
      <c r="AD13" s="16"/>
      <c r="AE13" s="16"/>
      <c r="AF13" s="16"/>
      <c r="AG13" s="20"/>
      <c r="AH13" s="16"/>
    </row>
    <row r="14" spans="1:34" ht="47.25" customHeight="1" x14ac:dyDescent="0.25">
      <c r="A14" s="203" t="str">
        <f>QUF!A16</f>
        <v>1. Material de consumo (papelaria, toner e demais inusmos para escritório  = 24 x R$500,00).</v>
      </c>
      <c r="B14" s="204"/>
      <c r="C14" s="166">
        <f>QUF!C16</f>
        <v>12000</v>
      </c>
      <c r="D14" s="166"/>
      <c r="E14" s="158" t="s">
        <v>20</v>
      </c>
      <c r="F14" s="158" t="s">
        <v>20</v>
      </c>
      <c r="G14" s="158" t="s">
        <v>20</v>
      </c>
      <c r="H14" s="158" t="s">
        <v>20</v>
      </c>
      <c r="I14" s="158" t="s">
        <v>20</v>
      </c>
      <c r="J14" s="158" t="s">
        <v>20</v>
      </c>
      <c r="K14" s="158" t="s">
        <v>20</v>
      </c>
      <c r="L14" s="158" t="s">
        <v>20</v>
      </c>
      <c r="M14" s="158" t="s">
        <v>20</v>
      </c>
      <c r="N14" s="158" t="s">
        <v>20</v>
      </c>
      <c r="O14" s="158" t="s">
        <v>20</v>
      </c>
      <c r="P14" s="158" t="s">
        <v>20</v>
      </c>
      <c r="Q14" s="158" t="s">
        <v>20</v>
      </c>
      <c r="R14" s="158" t="s">
        <v>20</v>
      </c>
      <c r="S14" s="158" t="s">
        <v>20</v>
      </c>
      <c r="T14" s="158" t="s">
        <v>20</v>
      </c>
      <c r="U14" s="158" t="s">
        <v>20</v>
      </c>
      <c r="V14" s="158" t="s">
        <v>20</v>
      </c>
      <c r="W14" s="158" t="s">
        <v>20</v>
      </c>
      <c r="X14" s="158" t="s">
        <v>20</v>
      </c>
      <c r="Y14" s="158" t="s">
        <v>20</v>
      </c>
      <c r="Z14" s="159" t="s">
        <v>20</v>
      </c>
      <c r="AA14" s="159" t="s">
        <v>20</v>
      </c>
      <c r="AB14" s="159" t="s">
        <v>20</v>
      </c>
      <c r="AC14" s="160"/>
      <c r="AD14" s="15"/>
      <c r="AE14" s="18"/>
      <c r="AF14" s="22"/>
      <c r="AG14" s="20"/>
      <c r="AH14" s="16"/>
    </row>
    <row r="15" spans="1:34" ht="72.75" customHeight="1" x14ac:dyDescent="0.25">
      <c r="A15" s="170" t="str">
        <f>QUF!A17</f>
        <v>2. Serviços de Terceiros - Pessoa jurídica (testes em laboratórios industriais e de bancada, insumos para os testes, materiais aplicados aos testes e despesas de apoio associadas aos serviços).</v>
      </c>
      <c r="B15" s="205"/>
      <c r="C15" s="161">
        <f>QUF!C17</f>
        <v>204000</v>
      </c>
      <c r="D15" s="161"/>
      <c r="E15" s="162"/>
      <c r="F15" s="162"/>
      <c r="G15" s="163"/>
      <c r="H15" s="164" t="s">
        <v>20</v>
      </c>
      <c r="I15" s="164" t="s">
        <v>20</v>
      </c>
      <c r="J15" s="164" t="s">
        <v>20</v>
      </c>
      <c r="K15" s="164" t="s">
        <v>20</v>
      </c>
      <c r="L15" s="164" t="s">
        <v>20</v>
      </c>
      <c r="M15" s="164" t="s">
        <v>20</v>
      </c>
      <c r="N15" s="164" t="s">
        <v>20</v>
      </c>
      <c r="O15" s="164" t="s">
        <v>20</v>
      </c>
      <c r="P15" s="164" t="s">
        <v>20</v>
      </c>
      <c r="Q15" s="164" t="s">
        <v>20</v>
      </c>
      <c r="R15" s="164" t="s">
        <v>20</v>
      </c>
      <c r="S15" s="164" t="s">
        <v>20</v>
      </c>
      <c r="T15" s="164" t="s">
        <v>20</v>
      </c>
      <c r="U15" s="164" t="s">
        <v>20</v>
      </c>
      <c r="V15" s="164" t="s">
        <v>20</v>
      </c>
      <c r="W15" s="163"/>
      <c r="X15" s="163"/>
      <c r="Y15" s="163"/>
      <c r="Z15" s="163"/>
      <c r="AA15" s="163"/>
      <c r="AB15" s="165"/>
      <c r="AC15" s="157"/>
      <c r="AD15" s="15"/>
      <c r="AE15" s="16"/>
      <c r="AF15" s="16"/>
      <c r="AG15" s="17"/>
      <c r="AH15" s="16"/>
    </row>
    <row r="16" spans="1:34" ht="81" customHeight="1" x14ac:dyDescent="0.25">
      <c r="A16" s="203" t="str">
        <f>QUF!A18</f>
        <v>3. Serviço de Terceiros - Pessoa Física  (serviços de apoio ao projeto, revisão de textos e tradução do projeto e relatórios de pesquisa, serviços de aplicações H2V em campo).  20 x R$3.100,00).</v>
      </c>
      <c r="B16" s="204"/>
      <c r="C16" s="166">
        <f>QUF!C18</f>
        <v>62000</v>
      </c>
      <c r="D16" s="166"/>
      <c r="E16" s="158" t="s">
        <v>20</v>
      </c>
      <c r="F16" s="158" t="s">
        <v>20</v>
      </c>
      <c r="G16" s="158" t="s">
        <v>20</v>
      </c>
      <c r="H16" s="158" t="s">
        <v>20</v>
      </c>
      <c r="I16" s="158" t="s">
        <v>20</v>
      </c>
      <c r="J16" s="159" t="s">
        <v>20</v>
      </c>
      <c r="K16" s="159" t="s">
        <v>20</v>
      </c>
      <c r="L16" s="159" t="s">
        <v>20</v>
      </c>
      <c r="M16" s="158" t="s">
        <v>20</v>
      </c>
      <c r="N16" s="158" t="s">
        <v>20</v>
      </c>
      <c r="O16" s="158" t="s">
        <v>20</v>
      </c>
      <c r="P16" s="158" t="s">
        <v>20</v>
      </c>
      <c r="Q16" s="158" t="s">
        <v>20</v>
      </c>
      <c r="R16" s="159" t="s">
        <v>20</v>
      </c>
      <c r="S16" s="159" t="s">
        <v>20</v>
      </c>
      <c r="T16" s="159" t="s">
        <v>20</v>
      </c>
      <c r="U16" s="158" t="s">
        <v>20</v>
      </c>
      <c r="V16" s="158" t="s">
        <v>20</v>
      </c>
      <c r="W16" s="158" t="s">
        <v>20</v>
      </c>
      <c r="X16" s="158" t="s">
        <v>20</v>
      </c>
      <c r="Y16" s="158" t="s">
        <v>20</v>
      </c>
      <c r="Z16" s="159" t="s">
        <v>20</v>
      </c>
      <c r="AA16" s="167"/>
      <c r="AB16" s="167"/>
      <c r="AC16" s="157"/>
      <c r="AD16" s="15"/>
      <c r="AE16" s="16"/>
      <c r="AF16" s="16"/>
      <c r="AG16" s="17"/>
      <c r="AH16" s="16"/>
    </row>
    <row r="17" spans="1:33" ht="78" customHeight="1" x14ac:dyDescent="0.25">
      <c r="A17" s="170" t="str">
        <f>QUF!A19</f>
        <v>4. Atividade de Campo (hospedagem, alimentação e despesas de locomoção ou diárias nacionais e internacionais), inclui visitas técnicas em fabricantes de equipamentos.</v>
      </c>
      <c r="B17" s="205"/>
      <c r="C17" s="161">
        <f>QUF!C19</f>
        <v>48250</v>
      </c>
      <c r="D17" s="161"/>
      <c r="E17" s="168" t="s">
        <v>20</v>
      </c>
      <c r="F17" s="168" t="s">
        <v>20</v>
      </c>
      <c r="G17" s="168" t="s">
        <v>20</v>
      </c>
      <c r="H17" s="168" t="s">
        <v>20</v>
      </c>
      <c r="I17" s="168" t="s">
        <v>20</v>
      </c>
      <c r="J17" s="168" t="s">
        <v>20</v>
      </c>
      <c r="K17" s="168" t="s">
        <v>20</v>
      </c>
      <c r="L17" s="168" t="s">
        <v>20</v>
      </c>
      <c r="M17" s="168" t="s">
        <v>20</v>
      </c>
      <c r="N17" s="168" t="s">
        <v>20</v>
      </c>
      <c r="O17" s="168" t="s">
        <v>20</v>
      </c>
      <c r="P17" s="168" t="s">
        <v>20</v>
      </c>
      <c r="Q17" s="168" t="s">
        <v>20</v>
      </c>
      <c r="R17" s="168" t="s">
        <v>20</v>
      </c>
      <c r="S17" s="168" t="s">
        <v>20</v>
      </c>
      <c r="T17" s="168" t="s">
        <v>20</v>
      </c>
      <c r="U17" s="168" t="s">
        <v>20</v>
      </c>
      <c r="V17" s="168" t="s">
        <v>20</v>
      </c>
      <c r="W17" s="168" t="s">
        <v>20</v>
      </c>
      <c r="X17" s="168" t="s">
        <v>20</v>
      </c>
      <c r="Y17" s="168" t="s">
        <v>20</v>
      </c>
      <c r="Z17" s="168" t="s">
        <v>20</v>
      </c>
      <c r="AA17" s="168" t="s">
        <v>20</v>
      </c>
      <c r="AB17" s="169" t="s">
        <v>20</v>
      </c>
      <c r="AC17" s="160"/>
      <c r="AD17" s="15"/>
      <c r="AE17" s="18"/>
      <c r="AF17" s="19"/>
      <c r="AG17" s="20"/>
    </row>
    <row r="18" spans="1:33" ht="46.5" customHeight="1" x14ac:dyDescent="0.25">
      <c r="A18" s="170" t="str">
        <f>QUF!A20</f>
        <v>5. Assinatura (bibl. em meio digital e plataforma de periódicos, etc.) + despesas com publicações de artigos.</v>
      </c>
      <c r="B18" s="171"/>
      <c r="C18" s="161">
        <f>QUF!C20</f>
        <v>50000</v>
      </c>
      <c r="D18" s="161"/>
      <c r="E18" s="168" t="s">
        <v>20</v>
      </c>
      <c r="F18" s="168" t="s">
        <v>20</v>
      </c>
      <c r="G18" s="168" t="s">
        <v>20</v>
      </c>
      <c r="H18" s="168" t="s">
        <v>20</v>
      </c>
      <c r="I18" s="168" t="s">
        <v>20</v>
      </c>
      <c r="J18" s="168" t="s">
        <v>20</v>
      </c>
      <c r="K18" s="168" t="s">
        <v>20</v>
      </c>
      <c r="L18" s="168" t="s">
        <v>20</v>
      </c>
      <c r="M18" s="168" t="s">
        <v>20</v>
      </c>
      <c r="N18" s="168" t="s">
        <v>20</v>
      </c>
      <c r="O18" s="168" t="s">
        <v>20</v>
      </c>
      <c r="P18" s="168" t="s">
        <v>20</v>
      </c>
      <c r="Q18" s="168" t="s">
        <v>20</v>
      </c>
      <c r="R18" s="168" t="s">
        <v>20</v>
      </c>
      <c r="S18" s="168" t="s">
        <v>20</v>
      </c>
      <c r="T18" s="168" t="s">
        <v>20</v>
      </c>
      <c r="U18" s="168" t="s">
        <v>20</v>
      </c>
      <c r="V18" s="168" t="s">
        <v>20</v>
      </c>
      <c r="W18" s="168" t="s">
        <v>20</v>
      </c>
      <c r="X18" s="168" t="s">
        <v>20</v>
      </c>
      <c r="Y18" s="168" t="s">
        <v>20</v>
      </c>
      <c r="Z18" s="168" t="s">
        <v>20</v>
      </c>
      <c r="AA18" s="168" t="s">
        <v>20</v>
      </c>
      <c r="AB18" s="169" t="s">
        <v>20</v>
      </c>
      <c r="AC18" s="160"/>
      <c r="AD18" s="15"/>
      <c r="AE18" s="21"/>
      <c r="AF18" s="22"/>
      <c r="AG18" s="20"/>
    </row>
    <row r="19" spans="1:33" ht="45.75" customHeight="1" thickBot="1" x14ac:dyDescent="0.3">
      <c r="A19" s="206" t="s">
        <v>38</v>
      </c>
      <c r="B19" s="207"/>
      <c r="C19" s="166"/>
      <c r="D19" s="166">
        <f>QUF!D21</f>
        <v>39999.5</v>
      </c>
      <c r="E19" s="172"/>
      <c r="F19" s="172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57"/>
      <c r="AD19" s="17"/>
      <c r="AE19" s="16"/>
      <c r="AF19" s="16"/>
      <c r="AG19" s="20"/>
    </row>
    <row r="20" spans="1:33" ht="24" customHeight="1" thickBot="1" x14ac:dyDescent="0.3">
      <c r="A20" s="212" t="s">
        <v>3</v>
      </c>
      <c r="B20" s="214"/>
      <c r="C20" s="227">
        <f>SUM(C14:C19)</f>
        <v>376250</v>
      </c>
      <c r="D20" s="227">
        <f>SUM(D14:D19)</f>
        <v>39999.5</v>
      </c>
      <c r="E20" s="174">
        <f>(500+2818+2010+2083)/C25</f>
        <v>9.2638657983224789E-3</v>
      </c>
      <c r="F20" s="154">
        <f>E20</f>
        <v>9.2638657983224789E-3</v>
      </c>
      <c r="G20" s="175">
        <f>F20</f>
        <v>9.2638657983224789E-3</v>
      </c>
      <c r="H20" s="153">
        <f>(500+13600+2818+2010.42+2083)/C25</f>
        <v>2.6264603307541341E-2</v>
      </c>
      <c r="I20" s="153">
        <f>H20</f>
        <v>2.6264603307541341E-2</v>
      </c>
      <c r="J20" s="153">
        <f t="shared" ref="J20:V20" si="2">I20</f>
        <v>2.6264603307541341E-2</v>
      </c>
      <c r="K20" s="153">
        <f t="shared" si="2"/>
        <v>2.6264603307541341E-2</v>
      </c>
      <c r="L20" s="153">
        <f t="shared" si="2"/>
        <v>2.6264603307541341E-2</v>
      </c>
      <c r="M20" s="153">
        <f t="shared" si="2"/>
        <v>2.6264603307541341E-2</v>
      </c>
      <c r="N20" s="153">
        <f t="shared" si="2"/>
        <v>2.6264603307541341E-2</v>
      </c>
      <c r="O20" s="153">
        <f t="shared" si="2"/>
        <v>2.6264603307541341E-2</v>
      </c>
      <c r="P20" s="153">
        <f t="shared" si="2"/>
        <v>2.6264603307541341E-2</v>
      </c>
      <c r="Q20" s="153">
        <f t="shared" si="2"/>
        <v>2.6264603307541341E-2</v>
      </c>
      <c r="R20" s="153">
        <f t="shared" si="2"/>
        <v>2.6264603307541341E-2</v>
      </c>
      <c r="S20" s="153">
        <f t="shared" si="2"/>
        <v>2.6264603307541341E-2</v>
      </c>
      <c r="T20" s="153">
        <f t="shared" si="2"/>
        <v>2.6264603307541341E-2</v>
      </c>
      <c r="U20" s="153">
        <f t="shared" si="2"/>
        <v>2.6264603307541341E-2</v>
      </c>
      <c r="V20" s="153">
        <f t="shared" si="2"/>
        <v>2.6264603307541341E-2</v>
      </c>
      <c r="W20" s="153">
        <f>(500+2818+2010+2083)/C25</f>
        <v>9.2638657983224789E-3</v>
      </c>
      <c r="X20" s="153">
        <f>W20</f>
        <v>9.2638657983224789E-3</v>
      </c>
      <c r="Y20" s="153">
        <f t="shared" ref="Y20:Z20" si="3">X20</f>
        <v>9.2638657983224789E-3</v>
      </c>
      <c r="Z20" s="153">
        <f t="shared" si="3"/>
        <v>9.2638657983224789E-3</v>
      </c>
      <c r="AA20" s="153">
        <f>(500+2010.42+2083.33)/C25</f>
        <v>5.7422592782409784E-3</v>
      </c>
      <c r="AB20" s="153">
        <f>AA20</f>
        <v>5.7422592782409784E-3</v>
      </c>
      <c r="AC20" s="155">
        <f>SUM(E20:AB20)</f>
        <v>0.47030062875785938</v>
      </c>
      <c r="AD20" s="23"/>
      <c r="AE20" s="16"/>
      <c r="AF20" s="16"/>
      <c r="AG20" s="20"/>
    </row>
    <row r="21" spans="1:33" ht="23.25" customHeight="1" thickBot="1" x14ac:dyDescent="0.3">
      <c r="A21" s="212" t="s">
        <v>4</v>
      </c>
      <c r="B21" s="213"/>
      <c r="C21" s="228"/>
      <c r="D21" s="225"/>
      <c r="E21" s="176"/>
      <c r="F21" s="156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57"/>
    </row>
    <row r="22" spans="1:33" ht="15.75" customHeight="1" x14ac:dyDescent="0.25">
      <c r="A22" s="215" t="str">
        <f>QUF!A24</f>
        <v>1. Equipamento (2 Notebooks x R$ 5.470,00).</v>
      </c>
      <c r="B22" s="216"/>
      <c r="C22" s="177">
        <f>QUF!C24</f>
        <v>10940</v>
      </c>
      <c r="D22" s="166"/>
      <c r="E22" s="158" t="s">
        <v>20</v>
      </c>
      <c r="F22" s="178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60"/>
      <c r="AD22" s="14"/>
      <c r="AE22" s="9"/>
      <c r="AF22" s="10"/>
    </row>
    <row r="23" spans="1:33" ht="21.75" customHeight="1" thickBot="1" x14ac:dyDescent="0.3">
      <c r="A23" s="180" t="s">
        <v>39</v>
      </c>
      <c r="B23" s="181"/>
      <c r="C23" s="179"/>
      <c r="D23" s="166"/>
      <c r="E23" s="156"/>
      <c r="F23" s="156"/>
      <c r="G23" s="182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57"/>
    </row>
    <row r="24" spans="1:33" ht="21.75" customHeight="1" thickBot="1" x14ac:dyDescent="0.3">
      <c r="A24" s="212" t="s">
        <v>5</v>
      </c>
      <c r="B24" s="214"/>
      <c r="C24" s="227">
        <f>SUM(C22:C22)</f>
        <v>10940</v>
      </c>
      <c r="D24" s="227">
        <f>SUM(D22:D23)</f>
        <v>0</v>
      </c>
      <c r="E24" s="183">
        <f>C22/C25</f>
        <v>1.3675170939636746E-2</v>
      </c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55">
        <f>SUM(E24:AB24)</f>
        <v>1.3675170939636746E-2</v>
      </c>
    </row>
    <row r="25" spans="1:33" ht="23.25" customHeight="1" thickBot="1" x14ac:dyDescent="0.3">
      <c r="A25" s="217" t="s">
        <v>6</v>
      </c>
      <c r="B25" s="218"/>
      <c r="C25" s="229">
        <f t="shared" ref="C25:AB25" si="4">C12+C20+C24</f>
        <v>799990</v>
      </c>
      <c r="D25" s="229">
        <f t="shared" si="4"/>
        <v>39999.5</v>
      </c>
      <c r="E25" s="185">
        <f t="shared" si="4"/>
        <v>3.931424142801785E-2</v>
      </c>
      <c r="F25" s="186">
        <f t="shared" si="4"/>
        <v>2.5639070488381106E-2</v>
      </c>
      <c r="G25" s="187">
        <f t="shared" si="4"/>
        <v>2.5639070488381106E-2</v>
      </c>
      <c r="H25" s="186">
        <f t="shared" si="4"/>
        <v>4.6389854873185907E-2</v>
      </c>
      <c r="I25" s="187">
        <f t="shared" si="4"/>
        <v>4.6389854873185907E-2</v>
      </c>
      <c r="J25" s="186">
        <f t="shared" si="4"/>
        <v>4.6389854873185907E-2</v>
      </c>
      <c r="K25" s="187">
        <f t="shared" si="4"/>
        <v>5.1014912686408578E-2</v>
      </c>
      <c r="L25" s="186">
        <f t="shared" si="4"/>
        <v>5.1014912686408578E-2</v>
      </c>
      <c r="M25" s="187">
        <f t="shared" si="4"/>
        <v>5.1014912686408578E-2</v>
      </c>
      <c r="N25" s="186">
        <f t="shared" si="4"/>
        <v>5.1014912686408578E-2</v>
      </c>
      <c r="O25" s="187">
        <f t="shared" si="4"/>
        <v>5.1014912686408578E-2</v>
      </c>
      <c r="P25" s="186">
        <f t="shared" si="4"/>
        <v>5.1014912686408578E-2</v>
      </c>
      <c r="Q25" s="187">
        <f t="shared" si="4"/>
        <v>5.1014912686408578E-2</v>
      </c>
      <c r="R25" s="186">
        <f t="shared" si="4"/>
        <v>5.1014912686408578E-2</v>
      </c>
      <c r="S25" s="187">
        <f t="shared" si="4"/>
        <v>5.1014912686408578E-2</v>
      </c>
      <c r="T25" s="186">
        <f t="shared" si="4"/>
        <v>5.1014912686408578E-2</v>
      </c>
      <c r="U25" s="187">
        <f t="shared" si="4"/>
        <v>5.1014912686408578E-2</v>
      </c>
      <c r="V25" s="186">
        <f t="shared" si="4"/>
        <v>5.1014912686408578E-2</v>
      </c>
      <c r="W25" s="187">
        <f t="shared" si="4"/>
        <v>2.938911736396705E-2</v>
      </c>
      <c r="X25" s="186">
        <f t="shared" si="4"/>
        <v>2.938911736396705E-2</v>
      </c>
      <c r="Y25" s="187">
        <f t="shared" si="4"/>
        <v>2.938911736396705E-2</v>
      </c>
      <c r="Z25" s="186">
        <f t="shared" si="4"/>
        <v>2.5639070488381106E-2</v>
      </c>
      <c r="AA25" s="186">
        <f t="shared" si="4"/>
        <v>2.2117463968299604E-2</v>
      </c>
      <c r="AB25" s="187">
        <f t="shared" si="4"/>
        <v>2.2117463968299604E-2</v>
      </c>
      <c r="AC25" s="155">
        <f>SUM(E25:AB25)</f>
        <v>0.99998224977812222</v>
      </c>
      <c r="AD25" s="11"/>
    </row>
    <row r="26" spans="1:33" ht="25.5" customHeight="1" thickBot="1" x14ac:dyDescent="0.3">
      <c r="A26" s="219" t="s">
        <v>34</v>
      </c>
      <c r="B26" s="220"/>
      <c r="C26" s="229">
        <f>C25</f>
        <v>799990</v>
      </c>
      <c r="D26" s="230">
        <f>D25</f>
        <v>39999.5</v>
      </c>
      <c r="E26" s="188">
        <f>C26*0.536</f>
        <v>428794.64</v>
      </c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0"/>
      <c r="Q26" s="188">
        <f>C26*0.464</f>
        <v>371195.36000000004</v>
      </c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90"/>
      <c r="AC26" s="191">
        <f>E26+Q26</f>
        <v>799990</v>
      </c>
      <c r="AD26" s="11"/>
    </row>
    <row r="27" spans="1:33" ht="33.75" customHeight="1" thickBot="1" x14ac:dyDescent="0.3">
      <c r="A27" s="221" t="s">
        <v>46</v>
      </c>
      <c r="B27" s="222"/>
      <c r="C27" s="192" t="s">
        <v>12</v>
      </c>
      <c r="D27" s="193" t="s">
        <v>32</v>
      </c>
      <c r="E27" s="194"/>
      <c r="F27" s="195"/>
      <c r="G27" s="196" t="s">
        <v>33</v>
      </c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7"/>
    </row>
    <row r="28" spans="1:33" ht="42" customHeight="1" thickBot="1" x14ac:dyDescent="0.3">
      <c r="A28" s="223"/>
      <c r="B28" s="224"/>
      <c r="C28" s="198" t="s">
        <v>13</v>
      </c>
      <c r="D28" s="199"/>
      <c r="E28" s="199"/>
      <c r="F28" s="200"/>
      <c r="G28" s="201" t="s">
        <v>29</v>
      </c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2"/>
    </row>
  </sheetData>
  <mergeCells count="37">
    <mergeCell ref="B2:AC2"/>
    <mergeCell ref="E3:P3"/>
    <mergeCell ref="A1:AC1"/>
    <mergeCell ref="A4:M4"/>
    <mergeCell ref="N4:AC4"/>
    <mergeCell ref="A5:B5"/>
    <mergeCell ref="A6:B6"/>
    <mergeCell ref="E5:P5"/>
    <mergeCell ref="Q5:AB5"/>
    <mergeCell ref="AC5:AC6"/>
    <mergeCell ref="C28:F28"/>
    <mergeCell ref="A27:B28"/>
    <mergeCell ref="A21:B21"/>
    <mergeCell ref="A22:B22"/>
    <mergeCell ref="A16:B16"/>
    <mergeCell ref="A17:B17"/>
    <mergeCell ref="A18:B18"/>
    <mergeCell ref="A20:B20"/>
    <mergeCell ref="A19:B19"/>
    <mergeCell ref="A26:B26"/>
    <mergeCell ref="E26:P26"/>
    <mergeCell ref="G27:AC27"/>
    <mergeCell ref="G28:AC28"/>
    <mergeCell ref="A23:B23"/>
    <mergeCell ref="A24:B24"/>
    <mergeCell ref="A25:B25"/>
    <mergeCell ref="Q26:AB26"/>
    <mergeCell ref="D27:F27"/>
    <mergeCell ref="A7:B7"/>
    <mergeCell ref="A8:B8"/>
    <mergeCell ref="A10:B10"/>
    <mergeCell ref="A9:B9"/>
    <mergeCell ref="A11:B11"/>
    <mergeCell ref="A12:B12"/>
    <mergeCell ref="A13:B13"/>
    <mergeCell ref="A14:B14"/>
    <mergeCell ref="A15:B15"/>
  </mergeCells>
  <pageMargins left="0.59055118110236227" right="0.39370078740157483" top="0.59055118110236227" bottom="0.3937007874015748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QUF</vt:lpstr>
      <vt:lpstr>Orçamento e Cronograma</vt:lpstr>
      <vt:lpstr>'Orçamento e Cronograma'!Area_de_impressao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Marques</dc:creator>
  <cp:lastModifiedBy>Alisson Fernandes da Silva</cp:lastModifiedBy>
  <cp:lastPrinted>2023-05-26T02:00:47Z</cp:lastPrinted>
  <dcterms:created xsi:type="dcterms:W3CDTF">2022-09-26T20:43:39Z</dcterms:created>
  <dcterms:modified xsi:type="dcterms:W3CDTF">2023-08-11T18:54:12Z</dcterms:modified>
</cp:coreProperties>
</file>